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3ac3dd5723f537/Tax Calculators/2026/"/>
    </mc:Choice>
  </mc:AlternateContent>
  <xr:revisionPtr revIDLastSave="125" documentId="8_{C4C41E3D-F75C-4B27-996A-75B757B3C428}" xr6:coauthVersionLast="47" xr6:coauthVersionMax="47" xr10:uidLastSave="{220FD9A6-6A03-4B72-BD56-AFE65B32984A}"/>
  <bookViews>
    <workbookView xWindow="-120" yWindow="-120" windowWidth="20730" windowHeight="11040" xr2:uid="{FCC69039-62EC-4CF3-B935-5F30A708C923}"/>
  </bookViews>
  <sheets>
    <sheet name="Sheet1" sheetId="1" r:id="rId1"/>
    <sheet name="Sheet2" sheetId="2" r:id="rId2"/>
  </sheets>
  <definedNames>
    <definedName name="Allowance">Sheet1!$B$13</definedName>
    <definedName name="BSala">Sheet1!$B$12</definedName>
    <definedName name="Impute20222120">Sheet1!$BA$21:$BC$31</definedName>
    <definedName name="Impute2023">Sheet1!$AW$21:$AY$31</definedName>
    <definedName name="Impute2024">Sheet1!$AS$21:$AU$31</definedName>
    <definedName name="khan">Sheet1!$AS$22:$AU$31</definedName>
    <definedName name="khan25">Sheet1!$AO$21:$AQ$31</definedName>
    <definedName name="Med">Sheet1!$BE$3</definedName>
    <definedName name="_xlnm.Print_Area" localSheetId="0">Sheet1!$A$1:$M$31</definedName>
    <definedName name="REVERSE2026">Sheet1!$AK$21:$AM$31</definedName>
    <definedName name="Table20222120">Sheet1!$BA$3:$BC$15</definedName>
    <definedName name="Table2023">Sheet1!$AW$3:$AY$15</definedName>
    <definedName name="Table2024">Sheet1!$AS$3:$AU$15</definedName>
    <definedName name="Table2025">Sheet1!$AO$3:$AQ$15</definedName>
    <definedName name="Table2026">Sheet1!$AK$3:$AM$15</definedName>
    <definedName name="tBLE2024">Sheet1!$K$13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" l="1"/>
  <c r="G27" i="1"/>
  <c r="H27" i="1"/>
  <c r="AG11" i="1" l="1"/>
  <c r="AG12" i="1" s="1"/>
  <c r="AG14" i="1" s="1"/>
  <c r="AM28" i="1" l="1"/>
  <c r="AL28" i="1"/>
  <c r="AM27" i="1"/>
  <c r="AL27" i="1"/>
  <c r="AK27" i="1"/>
  <c r="AM26" i="1"/>
  <c r="AL26" i="1"/>
  <c r="AK26" i="1"/>
  <c r="AM25" i="1"/>
  <c r="AL25" i="1"/>
  <c r="AK25" i="1"/>
  <c r="AM24" i="1"/>
  <c r="AL24" i="1"/>
  <c r="AK24" i="1"/>
  <c r="AM23" i="1"/>
  <c r="AL23" i="1"/>
  <c r="AK23" i="1"/>
  <c r="AK21" i="1"/>
  <c r="J13" i="2"/>
  <c r="J12" i="2"/>
  <c r="F13" i="2"/>
  <c r="E13" i="2"/>
  <c r="D13" i="2"/>
  <c r="F12" i="2"/>
  <c r="F11" i="2"/>
  <c r="E11" i="2"/>
  <c r="E12" i="2"/>
  <c r="E10" i="2"/>
  <c r="E7" i="2"/>
  <c r="E6" i="2"/>
  <c r="F31" i="1" l="1"/>
  <c r="B5" i="2"/>
  <c r="AQ28" i="1"/>
  <c r="AP28" i="1"/>
  <c r="AQ27" i="1"/>
  <c r="AP27" i="1"/>
  <c r="AO27" i="1"/>
  <c r="AQ26" i="1"/>
  <c r="AP26" i="1"/>
  <c r="AO26" i="1"/>
  <c r="AQ25" i="1"/>
  <c r="AP25" i="1"/>
  <c r="AO25" i="1"/>
  <c r="AQ24" i="1"/>
  <c r="AP24" i="1"/>
  <c r="AO24" i="1"/>
  <c r="AQ23" i="1"/>
  <c r="AP23" i="1"/>
  <c r="AO23" i="1"/>
  <c r="AO21" i="1"/>
  <c r="BC31" i="1"/>
  <c r="BB31" i="1"/>
  <c r="AU28" i="1"/>
  <c r="AT28" i="1"/>
  <c r="F29" i="1" l="1"/>
  <c r="G31" i="1"/>
  <c r="AX28" i="1"/>
  <c r="AX29" i="1"/>
  <c r="AY29" i="1"/>
  <c r="BA29" i="1"/>
  <c r="BA30" i="1"/>
  <c r="BB28" i="1"/>
  <c r="BB29" i="1"/>
  <c r="BB30" i="1"/>
  <c r="BC30" i="1"/>
  <c r="BC29" i="1"/>
  <c r="BA21" i="1"/>
  <c r="AW21" i="1"/>
  <c r="AS21" i="1"/>
  <c r="BC28" i="1"/>
  <c r="BA28" i="1"/>
  <c r="BC27" i="1"/>
  <c r="BB27" i="1"/>
  <c r="BA27" i="1"/>
  <c r="BC26" i="1"/>
  <c r="BB26" i="1"/>
  <c r="BA26" i="1"/>
  <c r="BC25" i="1"/>
  <c r="BB25" i="1"/>
  <c r="BA25" i="1"/>
  <c r="BC24" i="1"/>
  <c r="BB24" i="1"/>
  <c r="BA24" i="1"/>
  <c r="BC23" i="1"/>
  <c r="BB23" i="1"/>
  <c r="BA23" i="1"/>
  <c r="AY28" i="1"/>
  <c r="AW28" i="1"/>
  <c r="AY27" i="1"/>
  <c r="AX27" i="1"/>
  <c r="AW27" i="1"/>
  <c r="AY26" i="1"/>
  <c r="AX26" i="1"/>
  <c r="AW26" i="1"/>
  <c r="AY25" i="1"/>
  <c r="AX25" i="1"/>
  <c r="AW25" i="1"/>
  <c r="AY24" i="1"/>
  <c r="AX24" i="1"/>
  <c r="AW24" i="1"/>
  <c r="AY23" i="1"/>
  <c r="AX23" i="1"/>
  <c r="AW23" i="1"/>
  <c r="AU27" i="1"/>
  <c r="AU26" i="1"/>
  <c r="AU25" i="1"/>
  <c r="AU24" i="1"/>
  <c r="AU23" i="1"/>
  <c r="AT27" i="1"/>
  <c r="AT26" i="1"/>
  <c r="AT25" i="1"/>
  <c r="AT24" i="1"/>
  <c r="AT23" i="1"/>
  <c r="AS25" i="1"/>
  <c r="AS26" i="1"/>
  <c r="AS27" i="1"/>
  <c r="AS24" i="1"/>
  <c r="AS23" i="1"/>
  <c r="I27" i="1" l="1"/>
  <c r="I29" i="1" s="1"/>
  <c r="K27" i="1"/>
  <c r="K29" i="1" s="1"/>
  <c r="H31" i="1"/>
  <c r="G29" i="1"/>
  <c r="K31" i="1" l="1"/>
  <c r="H29" i="1"/>
  <c r="I31" i="1" l="1"/>
  <c r="B15" i="1" l="1"/>
  <c r="B19" i="1"/>
  <c r="J13" i="1" s="1"/>
  <c r="J15" i="1" s="1"/>
  <c r="F13" i="1" l="1"/>
  <c r="M13" i="1"/>
  <c r="K13" i="1"/>
  <c r="L13" i="1"/>
  <c r="B17" i="1"/>
  <c r="O19" i="1"/>
  <c r="P19" i="1" s="1"/>
  <c r="G13" i="1" l="1"/>
  <c r="G15" i="1" s="1"/>
  <c r="F19" i="1"/>
  <c r="F15" i="1"/>
  <c r="L15" i="1"/>
  <c r="L19" i="1"/>
  <c r="K15" i="1"/>
  <c r="O16" i="1" s="1"/>
  <c r="K19" i="1"/>
  <c r="M15" i="1"/>
  <c r="M19" i="1"/>
  <c r="J19" i="1"/>
  <c r="G19" i="1" l="1"/>
  <c r="H13" i="1"/>
  <c r="H19" i="1" s="1"/>
  <c r="H15" i="1"/>
</calcChain>
</file>

<file path=xl/sharedStrings.xml><?xml version="1.0" encoding="utf-8"?>
<sst xmlns="http://schemas.openxmlformats.org/spreadsheetml/2006/main" count="82" uniqueCount="46">
  <si>
    <t>Salary Slab Rates (TY2024)</t>
  </si>
  <si>
    <t>Salary Slab Rates (TY2023)</t>
  </si>
  <si>
    <t>Salary Slab Rates (TY2022,2021&amp; 2020)</t>
  </si>
  <si>
    <t>Slabs</t>
  </si>
  <si>
    <t>Rates</t>
  </si>
  <si>
    <t>Fixed Amount</t>
  </si>
  <si>
    <t>PAKISTAN SALARY TAX CALCULATOR</t>
  </si>
  <si>
    <t>PARTICULARS</t>
  </si>
  <si>
    <t>TY2024</t>
  </si>
  <si>
    <t>TY2023</t>
  </si>
  <si>
    <t>TY2022, 2021 &amp; 2020</t>
  </si>
  <si>
    <t>Monthly Basic Salary</t>
  </si>
  <si>
    <t>Monthly Allowances</t>
  </si>
  <si>
    <t>Monthly Total Salary</t>
  </si>
  <si>
    <t>Less: Medical Allowance @ 10%</t>
  </si>
  <si>
    <t>Annual Salary</t>
  </si>
  <si>
    <t>Amount of Tax deducted/Paid</t>
  </si>
  <si>
    <t>Monthly Salary</t>
  </si>
  <si>
    <t>Email : Info@Bizcon.pk | Web: Bizcon.pk</t>
  </si>
  <si>
    <t>Head Ofice : 167-A, G-1, Johar Town Lahore</t>
  </si>
  <si>
    <t>Contact :        042-5291011 | 0092-332-4643124</t>
  </si>
  <si>
    <t>REVERSE CALCULATION</t>
  </si>
  <si>
    <t>No. of Months</t>
  </si>
  <si>
    <t>Taxable Salary</t>
  </si>
  <si>
    <t>Total Annual Salary</t>
  </si>
  <si>
    <t>2022, 2021 &amp; 2020</t>
  </si>
  <si>
    <t>Total Tax</t>
  </si>
  <si>
    <t>Tax per Month</t>
  </si>
  <si>
    <t>ENTER YOUR DATA HERE</t>
  </si>
  <si>
    <t>ENTER THE ALREADY TAX PAID</t>
  </si>
  <si>
    <t>ANSWER / RESULT</t>
  </si>
  <si>
    <t>BIZCON CORPORATE CONSULTANTS</t>
  </si>
  <si>
    <t>TY2025</t>
  </si>
  <si>
    <t>Salary Slab Rates (TY2025)</t>
  </si>
  <si>
    <t>Tax Liability</t>
  </si>
  <si>
    <t>Surcharge</t>
  </si>
  <si>
    <t>Haider Ali</t>
  </si>
  <si>
    <t xml:space="preserve">Income </t>
  </si>
  <si>
    <t>Exemt income</t>
  </si>
  <si>
    <t>Taxable Income</t>
  </si>
  <si>
    <t>Month</t>
  </si>
  <si>
    <t>Total</t>
  </si>
  <si>
    <t>Salary Slab Rates (TY2026)</t>
  </si>
  <si>
    <t>TY2026</t>
  </si>
  <si>
    <t>Average Rate</t>
  </si>
  <si>
    <t>FOR TAX YEAR 2020 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</si>
</sst>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Garamond"/>
      <family val="1"/>
    </font>
    <font>
      <sz val="11"/>
      <color theme="1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4"/>
      <color theme="0"/>
      <name val="Garamond"/>
      <family val="1"/>
    </font>
    <font>
      <b/>
      <sz val="14"/>
      <name val="Garamond"/>
      <family val="1"/>
    </font>
    <font>
      <b/>
      <sz val="12"/>
      <color theme="0"/>
      <name val="Garamond"/>
      <family val="1"/>
    </font>
    <font>
      <sz val="12"/>
      <name val="Garamond"/>
      <family val="1"/>
    </font>
    <font>
      <b/>
      <sz val="12"/>
      <name val="Garamond"/>
      <family val="1"/>
    </font>
    <font>
      <b/>
      <sz val="12"/>
      <color theme="1"/>
      <name val="Garamond"/>
      <family val="1"/>
    </font>
    <font>
      <b/>
      <sz val="14"/>
      <color theme="1"/>
      <name val="Garamond"/>
      <family val="1"/>
    </font>
    <font>
      <b/>
      <sz val="11"/>
      <color theme="1"/>
      <name val="Calibri"/>
      <family val="2"/>
      <scheme val="minor"/>
    </font>
    <font>
      <b/>
      <sz val="12"/>
      <color rgb="FF010844"/>
      <name val="Garamond"/>
      <family val="1"/>
    </font>
    <font>
      <b/>
      <sz val="14"/>
      <color rgb="FF010844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rgb="FF00EB11"/>
        <bgColor indexed="64"/>
      </patternFill>
    </fill>
    <fill>
      <patternFill patternType="solid">
        <fgColor rgb="FF010844"/>
        <bgColor indexed="64"/>
      </patternFill>
    </fill>
  </fills>
  <borders count="2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theme="1"/>
      </left>
      <right style="double">
        <color theme="1"/>
      </right>
      <top/>
      <bottom/>
      <diagonal/>
    </border>
    <border>
      <left style="double">
        <color theme="1"/>
      </left>
      <right style="double">
        <color theme="1"/>
      </right>
      <top/>
      <bottom style="double">
        <color theme="1"/>
      </bottom>
      <diagonal/>
    </border>
    <border>
      <left style="double">
        <color theme="1"/>
      </left>
      <right style="double">
        <color theme="1"/>
      </right>
      <top style="thin">
        <color theme="1"/>
      </top>
      <bottom style="double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center"/>
    </xf>
    <xf numFmtId="165" fontId="3" fillId="0" borderId="6" xfId="1" applyNumberFormat="1" applyFont="1" applyBorder="1"/>
    <xf numFmtId="165" fontId="3" fillId="0" borderId="7" xfId="1" applyNumberFormat="1" applyFont="1" applyBorder="1"/>
    <xf numFmtId="10" fontId="3" fillId="0" borderId="6" xfId="2" applyNumberFormat="1" applyFont="1" applyBorder="1" applyAlignment="1">
      <alignment horizontal="center"/>
    </xf>
    <xf numFmtId="10" fontId="3" fillId="0" borderId="7" xfId="2" applyNumberFormat="1" applyFont="1" applyBorder="1" applyAlignment="1">
      <alignment horizontal="center"/>
    </xf>
    <xf numFmtId="164" fontId="3" fillId="0" borderId="6" xfId="1" applyFont="1" applyBorder="1"/>
    <xf numFmtId="164" fontId="3" fillId="0" borderId="7" xfId="1" applyFont="1" applyBorder="1"/>
    <xf numFmtId="0" fontId="3" fillId="0" borderId="5" xfId="0" applyFont="1" applyBorder="1"/>
    <xf numFmtId="0" fontId="5" fillId="0" borderId="6" xfId="0" applyFont="1" applyBorder="1" applyAlignment="1">
      <alignment horizontal="center"/>
    </xf>
    <xf numFmtId="0" fontId="2" fillId="0" borderId="0" xfId="0" applyFont="1" applyAlignment="1" applyProtection="1">
      <alignment vertical="center"/>
      <protection hidden="1"/>
    </xf>
    <xf numFmtId="164" fontId="3" fillId="0" borderId="0" xfId="0" applyNumberFormat="1" applyFont="1"/>
    <xf numFmtId="165" fontId="3" fillId="0" borderId="7" xfId="1" applyNumberFormat="1" applyFont="1" applyFill="1" applyBorder="1"/>
    <xf numFmtId="10" fontId="3" fillId="0" borderId="7" xfId="2" applyNumberFormat="1" applyFont="1" applyFill="1" applyBorder="1" applyAlignment="1">
      <alignment horizontal="center"/>
    </xf>
    <xf numFmtId="164" fontId="3" fillId="0" borderId="7" xfId="1" applyFont="1" applyFill="1" applyBorder="1"/>
    <xf numFmtId="165" fontId="3" fillId="0" borderId="6" xfId="1" applyNumberFormat="1" applyFont="1" applyFill="1" applyBorder="1"/>
    <xf numFmtId="10" fontId="3" fillId="0" borderId="6" xfId="2" applyNumberFormat="1" applyFont="1" applyFill="1" applyBorder="1" applyAlignment="1">
      <alignment horizontal="center"/>
    </xf>
    <xf numFmtId="164" fontId="3" fillId="0" borderId="6" xfId="1" applyFont="1" applyFill="1" applyBorder="1"/>
    <xf numFmtId="165" fontId="2" fillId="0" borderId="0" xfId="0" applyNumberFormat="1" applyFont="1" applyAlignment="1" applyProtection="1">
      <alignment vertical="center"/>
      <protection hidden="1"/>
    </xf>
    <xf numFmtId="0" fontId="4" fillId="0" borderId="10" xfId="0" applyFont="1" applyBorder="1" applyAlignment="1" applyProtection="1">
      <alignment vertical="center"/>
      <protection hidden="1"/>
    </xf>
    <xf numFmtId="0" fontId="4" fillId="0" borderId="12" xfId="0" applyFont="1" applyBorder="1" applyAlignment="1" applyProtection="1">
      <alignment vertical="center"/>
      <protection hidden="1"/>
    </xf>
    <xf numFmtId="0" fontId="2" fillId="0" borderId="7" xfId="0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164" fontId="10" fillId="0" borderId="7" xfId="1" applyFont="1" applyFill="1" applyBorder="1" applyAlignment="1" applyProtection="1">
      <alignment horizontal="center" vertical="center"/>
      <protection locked="0"/>
    </xf>
    <xf numFmtId="164" fontId="10" fillId="0" borderId="5" xfId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hidden="1"/>
    </xf>
    <xf numFmtId="0" fontId="2" fillId="0" borderId="10" xfId="0" applyFont="1" applyBorder="1" applyAlignment="1" applyProtection="1">
      <alignment vertical="center"/>
      <protection hidden="1"/>
    </xf>
    <xf numFmtId="0" fontId="2" fillId="0" borderId="6" xfId="0" applyFont="1" applyBorder="1" applyAlignment="1" applyProtection="1">
      <alignment vertical="center"/>
      <protection hidden="1"/>
    </xf>
    <xf numFmtId="164" fontId="4" fillId="0" borderId="7" xfId="0" applyNumberFormat="1" applyFont="1" applyBorder="1" applyAlignment="1" applyProtection="1">
      <alignment vertical="center"/>
      <protection hidden="1"/>
    </xf>
    <xf numFmtId="10" fontId="4" fillId="0" borderId="5" xfId="2" applyNumberFormat="1" applyFont="1" applyFill="1" applyBorder="1" applyAlignment="1" applyProtection="1">
      <alignment horizontal="center" vertical="center"/>
      <protection hidden="1"/>
    </xf>
    <xf numFmtId="164" fontId="4" fillId="0" borderId="7" xfId="0" applyNumberFormat="1" applyFont="1" applyBorder="1" applyAlignment="1" applyProtection="1">
      <alignment horizontal="center" vertical="center"/>
      <protection hidden="1"/>
    </xf>
    <xf numFmtId="164" fontId="4" fillId="0" borderId="14" xfId="1" applyFont="1" applyFill="1" applyBorder="1" applyAlignment="1" applyProtection="1">
      <alignment vertical="center"/>
      <protection hidden="1"/>
    </xf>
    <xf numFmtId="164" fontId="4" fillId="0" borderId="15" xfId="1" applyFont="1" applyFill="1" applyBorder="1" applyAlignment="1" applyProtection="1">
      <alignment vertical="center"/>
      <protection hidden="1"/>
    </xf>
    <xf numFmtId="164" fontId="4" fillId="0" borderId="16" xfId="1" applyFont="1" applyFill="1" applyBorder="1" applyAlignment="1" applyProtection="1">
      <alignment vertical="center"/>
      <protection hidden="1"/>
    </xf>
    <xf numFmtId="0" fontId="3" fillId="0" borderId="0" xfId="0" applyFont="1" applyProtection="1">
      <protection locked="0" hidden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165" fontId="4" fillId="0" borderId="7" xfId="1" applyNumberFormat="1" applyFont="1" applyFill="1" applyBorder="1" applyAlignment="1" applyProtection="1">
      <alignment horizontal="center" vertical="center"/>
      <protection hidden="1"/>
    </xf>
    <xf numFmtId="165" fontId="4" fillId="0" borderId="10" xfId="1" applyNumberFormat="1" applyFont="1" applyFill="1" applyBorder="1" applyAlignment="1" applyProtection="1">
      <alignment vertical="center"/>
      <protection hidden="1"/>
    </xf>
    <xf numFmtId="165" fontId="4" fillId="0" borderId="10" xfId="1" applyNumberFormat="1" applyFont="1" applyBorder="1" applyAlignment="1" applyProtection="1">
      <alignment vertical="center"/>
      <protection hidden="1"/>
    </xf>
    <xf numFmtId="0" fontId="9" fillId="0" borderId="0" xfId="0" applyFont="1" applyAlignment="1" applyProtection="1">
      <alignment vertical="center"/>
      <protection hidden="1"/>
    </xf>
    <xf numFmtId="164" fontId="4" fillId="0" borderId="11" xfId="0" applyNumberFormat="1" applyFont="1" applyBorder="1" applyAlignment="1" applyProtection="1">
      <alignment horizontal="center" vertical="center"/>
      <protection hidden="1"/>
    </xf>
    <xf numFmtId="164" fontId="4" fillId="0" borderId="11" xfId="0" applyNumberFormat="1" applyFont="1" applyBorder="1" applyAlignment="1" applyProtection="1">
      <alignment vertical="center"/>
      <protection hidden="1"/>
    </xf>
    <xf numFmtId="0" fontId="4" fillId="0" borderId="11" xfId="0" applyFont="1" applyBorder="1" applyAlignment="1" applyProtection="1">
      <alignment vertical="center"/>
      <protection hidden="1"/>
    </xf>
    <xf numFmtId="10" fontId="4" fillId="0" borderId="13" xfId="2" applyNumberFormat="1" applyFont="1" applyFill="1" applyBorder="1" applyAlignment="1" applyProtection="1">
      <alignment horizontal="center" vertical="center"/>
      <protection hidden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164" fontId="0" fillId="0" borderId="0" xfId="0" applyNumberFormat="1"/>
    <xf numFmtId="0" fontId="0" fillId="0" borderId="17" xfId="0" applyBorder="1"/>
    <xf numFmtId="17" fontId="0" fillId="0" borderId="17" xfId="0" applyNumberFormat="1" applyBorder="1"/>
    <xf numFmtId="1" fontId="0" fillId="0" borderId="17" xfId="0" applyNumberFormat="1" applyBorder="1"/>
    <xf numFmtId="0" fontId="13" fillId="0" borderId="17" xfId="0" applyFont="1" applyBorder="1"/>
    <xf numFmtId="0" fontId="13" fillId="0" borderId="18" xfId="0" applyFont="1" applyBorder="1"/>
    <xf numFmtId="166" fontId="13" fillId="0" borderId="18" xfId="0" applyNumberFormat="1" applyFont="1" applyBorder="1"/>
    <xf numFmtId="0" fontId="2" fillId="0" borderId="0" xfId="0" applyFont="1" applyFill="1" applyBorder="1" applyAlignment="1" applyProtection="1">
      <alignment vertical="center"/>
      <protection hidden="1"/>
    </xf>
    <xf numFmtId="0" fontId="14" fillId="2" borderId="7" xfId="0" applyFont="1" applyFill="1" applyBorder="1" applyAlignment="1">
      <alignment horizontal="center" vertical="center" wrapText="1"/>
    </xf>
    <xf numFmtId="164" fontId="2" fillId="2" borderId="14" xfId="1" applyFont="1" applyFill="1" applyBorder="1" applyAlignment="1" applyProtection="1">
      <alignment vertical="center"/>
      <protection locked="0" hidden="1"/>
    </xf>
    <xf numFmtId="164" fontId="10" fillId="2" borderId="7" xfId="1" applyFont="1" applyFill="1" applyBorder="1" applyAlignment="1" applyProtection="1">
      <alignment horizontal="center" vertical="center"/>
      <protection locked="0"/>
    </xf>
    <xf numFmtId="0" fontId="8" fillId="0" borderId="10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10" fontId="4" fillId="0" borderId="12" xfId="2" applyNumberFormat="1" applyFont="1" applyFill="1" applyBorder="1" applyAlignment="1" applyProtection="1">
      <alignment horizontal="center" vertical="center"/>
      <protection hidden="1"/>
    </xf>
    <xf numFmtId="164" fontId="4" fillId="0" borderId="10" xfId="0" applyNumberFormat="1" applyFont="1" applyBorder="1" applyAlignment="1" applyProtection="1">
      <alignment vertical="center"/>
      <protection hidden="1"/>
    </xf>
    <xf numFmtId="0" fontId="9" fillId="0" borderId="10" xfId="0" applyFont="1" applyBorder="1" applyAlignment="1" applyProtection="1">
      <alignment vertical="center"/>
      <protection hidden="1"/>
    </xf>
    <xf numFmtId="0" fontId="7" fillId="0" borderId="19" xfId="0" applyFont="1" applyBorder="1" applyAlignment="1" applyProtection="1">
      <alignment vertical="center"/>
      <protection hidden="1"/>
    </xf>
    <xf numFmtId="164" fontId="3" fillId="0" borderId="0" xfId="1" applyFont="1"/>
    <xf numFmtId="43" fontId="3" fillId="0" borderId="0" xfId="0" applyNumberFormat="1" applyFont="1"/>
    <xf numFmtId="0" fontId="3" fillId="0" borderId="10" xfId="0" applyFont="1" applyBorder="1"/>
    <xf numFmtId="164" fontId="4" fillId="0" borderId="7" xfId="1" applyFont="1" applyBorder="1" applyAlignment="1" applyProtection="1">
      <alignment vertical="center"/>
      <protection hidden="1"/>
    </xf>
    <xf numFmtId="0" fontId="14" fillId="2" borderId="10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64" fontId="4" fillId="0" borderId="7" xfId="1" applyFont="1" applyFill="1" applyBorder="1" applyAlignment="1" applyProtection="1">
      <alignment vertical="center"/>
      <protection hidden="1"/>
    </xf>
    <xf numFmtId="164" fontId="2" fillId="2" borderId="5" xfId="1" applyFont="1" applyFill="1" applyBorder="1" applyAlignment="1" applyProtection="1">
      <alignment vertical="center"/>
      <protection locked="0" hidden="1"/>
    </xf>
    <xf numFmtId="0" fontId="12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10" fontId="4" fillId="0" borderId="12" xfId="2" applyNumberFormat="1" applyFont="1" applyFill="1" applyBorder="1" applyAlignment="1" applyProtection="1">
      <alignment horizontal="center" vertical="center"/>
      <protection hidden="1"/>
    </xf>
    <xf numFmtId="10" fontId="4" fillId="0" borderId="13" xfId="2" applyNumberFormat="1" applyFont="1" applyFill="1" applyBorder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164" fontId="4" fillId="0" borderId="10" xfId="0" applyNumberFormat="1" applyFont="1" applyBorder="1" applyAlignment="1" applyProtection="1">
      <alignment horizontal="center" vertical="center"/>
      <protection hidden="1"/>
    </xf>
    <xf numFmtId="164" fontId="4" fillId="0" borderId="11" xfId="0" applyNumberFormat="1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horizontal="center" vertical="center"/>
      <protection hidden="1"/>
    </xf>
    <xf numFmtId="0" fontId="13" fillId="0" borderId="17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EB11"/>
      <color rgb="FF0108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BE$3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17</xdr:row>
          <xdr:rowOff>28575</xdr:rowOff>
        </xdr:from>
        <xdr:to>
          <xdr:col>3</xdr:col>
          <xdr:colOff>152400</xdr:colOff>
          <xdr:row>18</xdr:row>
          <xdr:rowOff>66675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37394</xdr:colOff>
      <xdr:row>0</xdr:row>
      <xdr:rowOff>0</xdr:rowOff>
    </xdr:from>
    <xdr:to>
      <xdr:col>1</xdr:col>
      <xdr:colOff>82550</xdr:colOff>
      <xdr:row>3</xdr:row>
      <xdr:rowOff>235474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40" t="23239" r="21201" b="16705"/>
        <a:stretch/>
      </xdr:blipFill>
      <xdr:spPr>
        <a:xfrm>
          <a:off x="37394" y="0"/>
          <a:ext cx="1886656" cy="944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DD45B-FBC2-474B-BDB3-9EADBF406F1B}">
  <sheetPr codeName="Sheet1">
    <pageSetUpPr fitToPage="1"/>
  </sheetPr>
  <dimension ref="A1:BE36"/>
  <sheetViews>
    <sheetView showGridLines="0" tabSelected="1" zoomScale="90" zoomScaleNormal="90" zoomScaleSheetLayoutView="90" workbookViewId="0">
      <selection activeCell="D16" sqref="D16"/>
    </sheetView>
  </sheetViews>
  <sheetFormatPr defaultColWidth="0" defaultRowHeight="15" zeroHeight="1" x14ac:dyDescent="0.25"/>
  <cols>
    <col min="1" max="1" width="27.5703125" style="1" customWidth="1"/>
    <col min="2" max="2" width="15.42578125" style="1" customWidth="1"/>
    <col min="3" max="3" width="0.7109375" style="1" customWidth="1"/>
    <col min="4" max="4" width="16.42578125" style="1" customWidth="1"/>
    <col min="5" max="5" width="0.7109375" style="1" customWidth="1"/>
    <col min="6" max="8" width="14.7109375" style="1" customWidth="1"/>
    <col min="9" max="9" width="0.7109375" style="1" customWidth="1"/>
    <col min="10" max="13" width="14.7109375" style="1" customWidth="1"/>
    <col min="14" max="14" width="0.7109375" style="1" customWidth="1"/>
    <col min="15" max="15" width="12.42578125" style="1" hidden="1"/>
    <col min="16" max="16" width="13.42578125" style="1" hidden="1"/>
    <col min="17" max="36" width="16.42578125" style="1" hidden="1"/>
    <col min="37" max="37" width="17" style="1" hidden="1"/>
    <col min="38" max="38" width="7" style="1" hidden="1"/>
    <col min="39" max="39" width="19.7109375" style="1" hidden="1"/>
    <col min="40" max="40" width="16.42578125" style="1" hidden="1"/>
    <col min="41" max="41" width="17" style="1" hidden="1"/>
    <col min="42" max="42" width="7" style="1" hidden="1"/>
    <col min="43" max="43" width="19.7109375" style="1" hidden="1"/>
    <col min="44" max="44" width="16.42578125" style="1" hidden="1"/>
    <col min="45" max="45" width="17" style="1" hidden="1"/>
    <col min="46" max="46" width="7" style="1" hidden="1"/>
    <col min="47" max="47" width="19.7109375" style="1" hidden="1"/>
    <col min="48" max="48" width="16.42578125" style="1" hidden="1"/>
    <col min="49" max="49" width="17" style="1" hidden="1"/>
    <col min="50" max="50" width="7" style="1" hidden="1"/>
    <col min="51" max="51" width="19.7109375" style="1" hidden="1"/>
    <col min="52" max="52" width="16.42578125" style="1" hidden="1"/>
    <col min="53" max="53" width="13.42578125" style="1" hidden="1"/>
    <col min="54" max="54" width="7" style="1" hidden="1"/>
    <col min="55" max="55" width="19.7109375" style="1" hidden="1"/>
    <col min="56" max="56" width="16.42578125" style="1" hidden="1"/>
    <col min="57" max="57" width="6.140625" style="1" hidden="1"/>
    <col min="58" max="16384" width="16.42578125" style="1" hidden="1"/>
  </cols>
  <sheetData>
    <row r="1" spans="1:57" ht="18.75" x14ac:dyDescent="0.25">
      <c r="A1" s="11"/>
      <c r="B1" s="11"/>
      <c r="C1" s="11"/>
      <c r="D1" s="11"/>
      <c r="E1" s="11"/>
      <c r="F1" s="11"/>
      <c r="I1" s="37"/>
      <c r="J1" s="48" t="s">
        <v>31</v>
      </c>
    </row>
    <row r="2" spans="1:57" ht="19.5" thickBot="1" x14ac:dyDescent="0.3">
      <c r="A2" s="11"/>
      <c r="B2" s="11"/>
      <c r="C2" s="11"/>
      <c r="D2" s="11"/>
      <c r="E2" s="11"/>
      <c r="F2" s="11"/>
      <c r="I2" s="37"/>
      <c r="J2" s="48" t="s">
        <v>20</v>
      </c>
    </row>
    <row r="3" spans="1:57" ht="20.25" thickTop="1" thickBot="1" x14ac:dyDescent="0.3">
      <c r="A3" s="11"/>
      <c r="B3" s="11"/>
      <c r="C3" s="11"/>
      <c r="D3" s="11"/>
      <c r="E3" s="11"/>
      <c r="F3" s="11"/>
      <c r="I3" s="37"/>
      <c r="J3" s="48" t="s">
        <v>18</v>
      </c>
      <c r="AK3" s="79" t="s">
        <v>42</v>
      </c>
      <c r="AL3" s="80"/>
      <c r="AM3" s="81"/>
      <c r="AO3" s="79" t="s">
        <v>33</v>
      </c>
      <c r="AP3" s="80"/>
      <c r="AQ3" s="81"/>
      <c r="AS3" s="79" t="s">
        <v>0</v>
      </c>
      <c r="AT3" s="80"/>
      <c r="AU3" s="81"/>
      <c r="AW3" s="79" t="s">
        <v>1</v>
      </c>
      <c r="AX3" s="80"/>
      <c r="AY3" s="81"/>
      <c r="BA3" s="79" t="s">
        <v>2</v>
      </c>
      <c r="BB3" s="80"/>
      <c r="BC3" s="81"/>
      <c r="BE3" s="36" t="b">
        <v>0</v>
      </c>
    </row>
    <row r="4" spans="1:57" ht="20.25" thickTop="1" thickBot="1" x14ac:dyDescent="0.3">
      <c r="A4" s="11"/>
      <c r="B4" s="11"/>
      <c r="C4" s="11"/>
      <c r="D4" s="11"/>
      <c r="E4" s="11"/>
      <c r="F4" s="11"/>
      <c r="I4" s="38"/>
      <c r="J4" s="47" t="s">
        <v>19</v>
      </c>
      <c r="AK4" s="10" t="s">
        <v>3</v>
      </c>
      <c r="AL4" s="2" t="s">
        <v>4</v>
      </c>
      <c r="AM4" s="2" t="s">
        <v>5</v>
      </c>
      <c r="AO4" s="10" t="s">
        <v>3</v>
      </c>
      <c r="AP4" s="2" t="s">
        <v>4</v>
      </c>
      <c r="AQ4" s="2" t="s">
        <v>5</v>
      </c>
      <c r="AS4" s="10" t="s">
        <v>3</v>
      </c>
      <c r="AT4" s="2" t="s">
        <v>4</v>
      </c>
      <c r="AU4" s="2" t="s">
        <v>5</v>
      </c>
      <c r="AW4" s="10" t="s">
        <v>3</v>
      </c>
      <c r="AX4" s="2" t="s">
        <v>4</v>
      </c>
      <c r="AY4" s="2" t="s">
        <v>5</v>
      </c>
      <c r="BA4" s="10" t="s">
        <v>3</v>
      </c>
      <c r="BB4" s="2" t="s">
        <v>4</v>
      </c>
      <c r="BC4" s="2" t="s">
        <v>5</v>
      </c>
    </row>
    <row r="5" spans="1:57" ht="4.9000000000000004" customHeight="1" thickTop="1" thickBot="1" x14ac:dyDescent="0.3">
      <c r="A5" s="11"/>
      <c r="B5" s="11"/>
      <c r="C5" s="11"/>
      <c r="D5" s="11"/>
      <c r="E5" s="11"/>
      <c r="F5" s="11"/>
      <c r="G5" s="47"/>
      <c r="I5" s="38"/>
      <c r="J5" s="11"/>
      <c r="K5" s="38"/>
      <c r="AK5" s="10"/>
      <c r="AL5" s="10"/>
      <c r="AM5" s="10"/>
      <c r="AO5" s="10"/>
      <c r="AP5" s="10"/>
      <c r="AQ5" s="10"/>
      <c r="AS5" s="10"/>
      <c r="AT5" s="10"/>
      <c r="AU5" s="10"/>
      <c r="AW5" s="10"/>
      <c r="AX5" s="10"/>
      <c r="AY5" s="10"/>
      <c r="BA5" s="10"/>
      <c r="BB5" s="10"/>
      <c r="BC5" s="10"/>
    </row>
    <row r="6" spans="1:57" ht="19.5" thickTop="1" x14ac:dyDescent="0.25">
      <c r="A6" s="77" t="s">
        <v>6</v>
      </c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AK6" s="3">
        <v>600000</v>
      </c>
      <c r="AL6" s="5">
        <v>0.01</v>
      </c>
      <c r="AM6" s="7">
        <v>0</v>
      </c>
      <c r="AO6" s="3">
        <v>600000</v>
      </c>
      <c r="AP6" s="5">
        <v>0.05</v>
      </c>
      <c r="AQ6" s="7">
        <v>0</v>
      </c>
      <c r="AS6" s="3">
        <v>600000</v>
      </c>
      <c r="AT6" s="5">
        <v>2.5000000000000001E-2</v>
      </c>
      <c r="AU6" s="7">
        <v>0</v>
      </c>
      <c r="AW6" s="3">
        <v>600000</v>
      </c>
      <c r="AX6" s="5">
        <v>2.5000000000000001E-2</v>
      </c>
      <c r="AY6" s="7">
        <v>0</v>
      </c>
      <c r="BA6" s="3">
        <v>600000</v>
      </c>
      <c r="BB6" s="5">
        <v>0.05</v>
      </c>
      <c r="BC6" s="7">
        <v>0</v>
      </c>
    </row>
    <row r="7" spans="1:57" ht="18.75" x14ac:dyDescent="0.25">
      <c r="A7" s="78" t="s">
        <v>45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AK7" s="4">
        <v>1200000</v>
      </c>
      <c r="AL7" s="6">
        <v>0.11</v>
      </c>
      <c r="AM7" s="8">
        <v>6000</v>
      </c>
      <c r="AO7" s="4">
        <v>1200000</v>
      </c>
      <c r="AP7" s="6">
        <v>0.15</v>
      </c>
      <c r="AQ7" s="8">
        <v>30000</v>
      </c>
      <c r="AS7" s="4">
        <v>1200000</v>
      </c>
      <c r="AT7" s="6">
        <v>0.125</v>
      </c>
      <c r="AU7" s="8">
        <v>15000</v>
      </c>
      <c r="AW7" s="4">
        <v>1200000</v>
      </c>
      <c r="AX7" s="6">
        <v>0.125</v>
      </c>
      <c r="AY7" s="8">
        <v>15000</v>
      </c>
      <c r="BA7" s="4">
        <v>1200000</v>
      </c>
      <c r="BB7" s="6">
        <v>0.1</v>
      </c>
      <c r="BC7" s="8">
        <v>30000</v>
      </c>
    </row>
    <row r="8" spans="1:57" ht="19.5" thickBot="1" x14ac:dyDescent="0.3">
      <c r="A8" s="6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AK8" s="4">
        <v>2200000</v>
      </c>
      <c r="AL8" s="6">
        <v>0.23</v>
      </c>
      <c r="AM8" s="8">
        <v>116000</v>
      </c>
      <c r="AO8" s="4">
        <v>2200000</v>
      </c>
      <c r="AP8" s="6">
        <v>0.25</v>
      </c>
      <c r="AQ8" s="8">
        <v>180000</v>
      </c>
      <c r="AS8" s="4">
        <v>2400000</v>
      </c>
      <c r="AT8" s="6">
        <v>0.22500000000000001</v>
      </c>
      <c r="AU8" s="8">
        <v>165000</v>
      </c>
      <c r="AW8" s="4">
        <v>2400000</v>
      </c>
      <c r="AX8" s="6">
        <v>0.2</v>
      </c>
      <c r="AY8" s="8">
        <v>165000</v>
      </c>
      <c r="BA8" s="4">
        <v>1800000</v>
      </c>
      <c r="BB8" s="6">
        <v>0.15</v>
      </c>
      <c r="BC8" s="8">
        <v>90000</v>
      </c>
    </row>
    <row r="9" spans="1:57" ht="15" customHeight="1" thickTop="1" thickBot="1" x14ac:dyDescent="0.3">
      <c r="A9" s="82" t="s">
        <v>28</v>
      </c>
      <c r="B9" s="83"/>
      <c r="C9" s="66"/>
      <c r="D9" s="91" t="s">
        <v>30</v>
      </c>
      <c r="E9" s="92"/>
      <c r="F9" s="92"/>
      <c r="G9" s="92"/>
      <c r="H9" s="92"/>
      <c r="I9" s="92"/>
      <c r="J9" s="92"/>
      <c r="K9" s="92"/>
      <c r="L9" s="92"/>
      <c r="M9" s="93"/>
      <c r="AK9" s="13">
        <v>3200000</v>
      </c>
      <c r="AL9" s="14">
        <v>0.3</v>
      </c>
      <c r="AM9" s="15">
        <v>346000</v>
      </c>
      <c r="AO9" s="13">
        <v>3200000</v>
      </c>
      <c r="AP9" s="14">
        <v>0.3</v>
      </c>
      <c r="AQ9" s="15">
        <v>430000</v>
      </c>
      <c r="AS9" s="13">
        <v>3600000</v>
      </c>
      <c r="AT9" s="14">
        <v>0.27500000000000002</v>
      </c>
      <c r="AU9" s="15">
        <v>435000</v>
      </c>
      <c r="AW9" s="13">
        <v>3600000</v>
      </c>
      <c r="AX9" s="14">
        <v>0.25</v>
      </c>
      <c r="AY9" s="15">
        <v>405000</v>
      </c>
      <c r="BA9" s="13">
        <v>2500000</v>
      </c>
      <c r="BB9" s="14">
        <v>0.17499999999999999</v>
      </c>
      <c r="BC9" s="15">
        <v>195000</v>
      </c>
    </row>
    <row r="10" spans="1:57" ht="15" customHeight="1" thickTop="1" thickBot="1" x14ac:dyDescent="0.3">
      <c r="A10" s="84"/>
      <c r="B10" s="85"/>
      <c r="C10" s="22"/>
      <c r="D10" s="86" t="s">
        <v>7</v>
      </c>
      <c r="E10" s="11"/>
      <c r="F10" s="88" t="s">
        <v>43</v>
      </c>
      <c r="G10" s="89"/>
      <c r="H10" s="90"/>
      <c r="I10" s="11"/>
      <c r="J10" s="86" t="s">
        <v>32</v>
      </c>
      <c r="K10" s="86" t="s">
        <v>8</v>
      </c>
      <c r="L10" s="86" t="s">
        <v>9</v>
      </c>
      <c r="M10" s="86" t="s">
        <v>25</v>
      </c>
      <c r="AG10" s="68">
        <v>616000</v>
      </c>
      <c r="AK10" s="4">
        <v>4100000</v>
      </c>
      <c r="AL10" s="6">
        <v>0.35</v>
      </c>
      <c r="AM10" s="8">
        <v>616000</v>
      </c>
      <c r="AO10" s="4">
        <v>4100000</v>
      </c>
      <c r="AP10" s="6">
        <v>0.35</v>
      </c>
      <c r="AQ10" s="8">
        <v>700000</v>
      </c>
      <c r="AS10" s="4">
        <v>6000000</v>
      </c>
      <c r="AT10" s="6">
        <v>0.35</v>
      </c>
      <c r="AU10" s="8">
        <v>1095000</v>
      </c>
      <c r="AW10" s="4">
        <v>6000000</v>
      </c>
      <c r="AX10" s="6">
        <v>0.32500000000000001</v>
      </c>
      <c r="AY10" s="8">
        <v>1005000</v>
      </c>
      <c r="BA10" s="4">
        <v>3500000</v>
      </c>
      <c r="BB10" s="6">
        <v>0.2</v>
      </c>
      <c r="BC10" s="8">
        <v>370000</v>
      </c>
    </row>
    <row r="11" spans="1:57" ht="17.25" thickTop="1" thickBot="1" x14ac:dyDescent="0.3">
      <c r="A11" s="60"/>
      <c r="B11" s="73"/>
      <c r="C11" s="11"/>
      <c r="D11" s="87"/>
      <c r="E11" s="11"/>
      <c r="F11" s="57" t="s">
        <v>34</v>
      </c>
      <c r="G11" s="61" t="s">
        <v>35</v>
      </c>
      <c r="H11" s="57" t="s">
        <v>26</v>
      </c>
      <c r="I11" s="11"/>
      <c r="J11" s="87"/>
      <c r="K11" s="87"/>
      <c r="L11" s="87"/>
      <c r="M11" s="87"/>
      <c r="AG11" s="68">
        <f>12000000-4100000</f>
        <v>7900000</v>
      </c>
      <c r="AK11" s="4">
        <v>1000000000000</v>
      </c>
      <c r="AL11" s="6"/>
      <c r="AM11" s="8"/>
      <c r="AO11" s="4">
        <v>1000000000000</v>
      </c>
      <c r="AP11" s="6"/>
      <c r="AQ11" s="8"/>
      <c r="AS11" s="4">
        <v>1000000000000</v>
      </c>
      <c r="AT11" s="6"/>
      <c r="AU11" s="8"/>
      <c r="AW11" s="4">
        <v>12000000</v>
      </c>
      <c r="AX11" s="6">
        <v>0.35</v>
      </c>
      <c r="AY11" s="8">
        <v>2955000</v>
      </c>
      <c r="BA11" s="4">
        <v>5000000</v>
      </c>
      <c r="BB11" s="6">
        <v>0.22500000000000001</v>
      </c>
      <c r="BC11" s="8">
        <v>670000</v>
      </c>
    </row>
    <row r="12" spans="1:57" ht="15.75" thickTop="1" x14ac:dyDescent="0.25">
      <c r="A12" s="28" t="s">
        <v>11</v>
      </c>
      <c r="B12" s="74">
        <v>120000</v>
      </c>
      <c r="C12" s="11"/>
      <c r="D12" s="22"/>
      <c r="E12" s="11"/>
      <c r="F12" s="29"/>
      <c r="G12" s="22"/>
      <c r="H12" s="29"/>
      <c r="I12" s="11"/>
      <c r="J12" s="29"/>
      <c r="K12" s="29"/>
      <c r="L12" s="29"/>
      <c r="M12" s="29"/>
      <c r="AG12" s="68">
        <f>AG11*35%</f>
        <v>2765000</v>
      </c>
      <c r="AK12" s="13"/>
      <c r="AL12" s="14"/>
      <c r="AM12" s="15"/>
      <c r="AO12" s="13"/>
      <c r="AP12" s="14"/>
      <c r="AQ12" s="15"/>
      <c r="AS12" s="13"/>
      <c r="AT12" s="14"/>
      <c r="AU12" s="15"/>
      <c r="AW12" s="13"/>
      <c r="AX12" s="14"/>
      <c r="AY12" s="15"/>
      <c r="BA12" s="13"/>
      <c r="BB12" s="14"/>
      <c r="BC12" s="15"/>
    </row>
    <row r="13" spans="1:57" ht="15.75" thickBot="1" x14ac:dyDescent="0.3">
      <c r="A13" s="28" t="s">
        <v>12</v>
      </c>
      <c r="B13" s="75">
        <v>0</v>
      </c>
      <c r="C13" s="11"/>
      <c r="D13" s="23" t="s">
        <v>26</v>
      </c>
      <c r="E13" s="11"/>
      <c r="F13" s="32">
        <f>IFERROR(IF((B19-VLOOKUP(B19,Table2026,1,1))*VLOOKUP(B19,Table2026,2,1)+VLOOKUP(B19,Table2026,3,1)&lt;=0, "BTL", (B19-VLOOKUP(B19,Table2026,1,1))*VLOOKUP(B19,Table2026,2,1)+VLOOKUP(B19,Table2026,3,1)), "BTL")</f>
        <v>32400</v>
      </c>
      <c r="G13" s="32">
        <f>IF(B19&gt;10000000,(F13*9%),0)</f>
        <v>0</v>
      </c>
      <c r="H13" s="32">
        <f>IFERROR(F13+G13,0)</f>
        <v>32400</v>
      </c>
      <c r="I13" s="11"/>
      <c r="J13" s="32">
        <f>IFERROR(((IFERROR(IF((B19-VLOOKUP(B19,Table2025,1,1))*VLOOKUP(B19,Table2025,2,1)+VLOOKUP(B19,Table2025,3,1)&lt;=0,"BTL",(B19-VLOOKUP(B19,Table2025,1,1))*VLOOKUP(B19,Table2025,2,1)+VLOOKUP(B19,Table2025,3,1)),"BTL"))+(IF(B19&gt;10000000,(IFERROR(IF((B19-VLOOKUP(B19,Table2025,1,1))*VLOOKUP(B19,Table2025,2,1)+VLOOKUP(B19,Table2025,3,1)&lt;=0,"BTL",(B19-VLOOKUP(B19,Table2025,1,1))*VLOOKUP(B19,Table2025,2,1)+VLOOKUP(B19,Table2025,3,1)),"BTL"))*10%,0))),"BTL")</f>
        <v>66000</v>
      </c>
      <c r="K13" s="32">
        <f>IFERROR(IF((B19-VLOOKUP(B19,Table2024,1,1))*VLOOKUP(B19,Table2024,2,1)+VLOOKUP(B19,Table2024,3,1)&lt;=0, "BTL", (B19-VLOOKUP(B19,Table2024,1,1))*VLOOKUP(B19,Table2024,2,1)+VLOOKUP(B19,Table2024,3,1)), "BTL")</f>
        <v>45000</v>
      </c>
      <c r="L13" s="43">
        <f>IFERROR(IF((B19-VLOOKUP(B19,Table2023,1,1))*VLOOKUP(B19,Table2023,2,1)+VLOOKUP(B19,Table2023,3,1)&lt;=0, "BTL", (B19-VLOOKUP(B19,Table2023,1,1))*VLOOKUP(B19,Table2023,2,1)+VLOOKUP(B19,Table2023,3,1)), "BTL")</f>
        <v>45000</v>
      </c>
      <c r="M13" s="32">
        <f>IFERROR(IF((B19-VLOOKUP(B19,Table20222120,1,1))*VLOOKUP(B19,Table20222120,2,1)+VLOOKUP(B19,Table20222120,3,1)&lt;=0, "BTL", (B19-VLOOKUP(B19,Table20222120,1,1))*VLOOKUP(B19,Table20222120,2,1)+VLOOKUP(B19,Table20222120,3,1)), "BTL")</f>
        <v>54000</v>
      </c>
      <c r="AK13" s="4"/>
      <c r="AL13" s="6"/>
      <c r="AM13" s="8"/>
      <c r="AO13" s="4"/>
      <c r="AP13" s="6"/>
      <c r="AQ13" s="8"/>
      <c r="AS13" s="4"/>
      <c r="AT13" s="6"/>
      <c r="AU13" s="8"/>
      <c r="AW13" s="4">
        <v>1000000000000</v>
      </c>
      <c r="AX13" s="6"/>
      <c r="AY13" s="8"/>
      <c r="BA13" s="4">
        <v>8000000</v>
      </c>
      <c r="BB13" s="6">
        <v>0.25</v>
      </c>
      <c r="BC13" s="8">
        <v>1345000</v>
      </c>
    </row>
    <row r="14" spans="1:57" ht="15.75" thickTop="1" x14ac:dyDescent="0.25">
      <c r="A14" s="28"/>
      <c r="B14" s="33"/>
      <c r="C14" s="11"/>
      <c r="D14" s="23"/>
      <c r="E14" s="11"/>
      <c r="F14" s="30"/>
      <c r="G14" s="30"/>
      <c r="H14" s="30"/>
      <c r="I14" s="11"/>
      <c r="J14" s="30"/>
      <c r="K14" s="30"/>
      <c r="L14" s="44"/>
      <c r="M14" s="30"/>
      <c r="AG14" s="69">
        <f>AG12+AG10</f>
        <v>3381000</v>
      </c>
      <c r="AK14" s="4"/>
      <c r="AL14" s="6"/>
      <c r="AM14" s="8"/>
      <c r="AO14" s="4"/>
      <c r="AP14" s="6"/>
      <c r="AQ14" s="8"/>
      <c r="AS14" s="4"/>
      <c r="AT14" s="6"/>
      <c r="AU14" s="8"/>
      <c r="AW14" s="4"/>
      <c r="AX14" s="6"/>
      <c r="AY14" s="8"/>
      <c r="BA14" s="4">
        <v>12000000</v>
      </c>
      <c r="BB14" s="6">
        <v>0.27500000000000002</v>
      </c>
      <c r="BC14" s="8">
        <v>2345000</v>
      </c>
    </row>
    <row r="15" spans="1:57" ht="15.75" thickBot="1" x14ac:dyDescent="0.3">
      <c r="A15" s="20" t="s">
        <v>13</v>
      </c>
      <c r="B15" s="33">
        <f>ROUND(SUM(BSala+Allowance),0)</f>
        <v>120000</v>
      </c>
      <c r="C15" s="11"/>
      <c r="D15" s="23" t="s">
        <v>27</v>
      </c>
      <c r="E15" s="11"/>
      <c r="F15" s="32">
        <f>IFERROR(F13/12,"BTL")</f>
        <v>2700</v>
      </c>
      <c r="G15" s="32">
        <f>G13/12</f>
        <v>0</v>
      </c>
      <c r="H15" s="32">
        <f>IFERROR(F15+G15,0)</f>
        <v>2700</v>
      </c>
      <c r="I15" s="11"/>
      <c r="J15" s="32">
        <f>IFERROR(J13/12,"BTL")</f>
        <v>5500</v>
      </c>
      <c r="K15" s="32">
        <f>IFERROR(IF(OR(ISNA(K13/B16), K13/B16&lt;=0), "BTL", K13/B16), "BTL")</f>
        <v>3750</v>
      </c>
      <c r="L15" s="43">
        <f>IFERROR(IF(OR(ISNA(L13/12), L13/12&lt;=0), "BTL", L13/12), "BTL")</f>
        <v>3750</v>
      </c>
      <c r="M15" s="32">
        <f>IFERROR(IF(OR(ISNA(M13/12), M13/12&lt;=0), "BTL", M13/12), "BTL")</f>
        <v>4500</v>
      </c>
      <c r="AK15" s="9"/>
      <c r="AL15" s="9"/>
      <c r="AM15" s="9"/>
      <c r="AO15" s="9"/>
      <c r="AP15" s="9"/>
      <c r="AQ15" s="9"/>
      <c r="AS15" s="9"/>
      <c r="AT15" s="9"/>
      <c r="AU15" s="9"/>
      <c r="AW15" s="9"/>
      <c r="AX15" s="9"/>
      <c r="AY15" s="9"/>
      <c r="BA15" s="9">
        <v>1000000000000</v>
      </c>
      <c r="BB15" s="9"/>
      <c r="BC15" s="9"/>
    </row>
    <row r="16" spans="1:57" ht="15.75" thickTop="1" x14ac:dyDescent="0.25">
      <c r="A16" s="28" t="s">
        <v>22</v>
      </c>
      <c r="B16" s="58">
        <v>12</v>
      </c>
      <c r="C16" s="11"/>
      <c r="D16" s="23"/>
      <c r="E16" s="11"/>
      <c r="F16" s="32"/>
      <c r="G16" s="32"/>
      <c r="H16" s="32"/>
      <c r="I16" s="11"/>
      <c r="J16" s="32"/>
      <c r="K16" s="32"/>
      <c r="L16" s="43"/>
      <c r="M16" s="32"/>
      <c r="O16" s="12">
        <f>tBLE2024/K15</f>
        <v>12</v>
      </c>
    </row>
    <row r="17" spans="1:55" ht="15.75" thickBot="1" x14ac:dyDescent="0.3">
      <c r="A17" s="20" t="s">
        <v>24</v>
      </c>
      <c r="B17" s="35">
        <f>B15*B16</f>
        <v>1440000</v>
      </c>
      <c r="C17" s="11"/>
      <c r="D17" s="23"/>
      <c r="E17" s="11"/>
      <c r="F17" s="32"/>
      <c r="G17" s="32"/>
      <c r="H17" s="32"/>
      <c r="I17" s="11"/>
      <c r="J17" s="32"/>
      <c r="K17" s="32"/>
      <c r="L17" s="43"/>
      <c r="M17" s="32"/>
    </row>
    <row r="18" spans="1:55" ht="15.75" thickTop="1" x14ac:dyDescent="0.25">
      <c r="A18" s="28" t="s">
        <v>14</v>
      </c>
      <c r="B18" s="33"/>
      <c r="C18" s="11"/>
      <c r="D18" s="23"/>
      <c r="E18" s="11"/>
      <c r="F18" s="23"/>
      <c r="G18" s="23"/>
      <c r="H18" s="23"/>
      <c r="I18" s="11"/>
      <c r="J18" s="23"/>
      <c r="K18" s="23"/>
      <c r="L18" s="45"/>
      <c r="M18" s="23"/>
    </row>
    <row r="19" spans="1:55" ht="15.75" thickBot="1" x14ac:dyDescent="0.3">
      <c r="A19" s="21" t="s">
        <v>23</v>
      </c>
      <c r="B19" s="34">
        <f>IF(B13&gt;0,(B15*B16)-IF(Med,BSala*0.1*B16,0),((BSala*B16)-IF(Med,BSala*10/110*B16)))</f>
        <v>1440000</v>
      </c>
      <c r="C19" s="11"/>
      <c r="D19" s="24" t="s">
        <v>44</v>
      </c>
      <c r="E19" s="11"/>
      <c r="F19" s="31">
        <f>IFERROR((IFERROR(IF(ISNUMBER(F$13), F$13/$B$19, F$13), F$13)),0)</f>
        <v>2.2499999999999999E-2</v>
      </c>
      <c r="G19" s="31">
        <f>IFERROR(IF(ISNUMBER(G$13), G$13/$B$19, G$13), G$13)</f>
        <v>0</v>
      </c>
      <c r="H19" s="31">
        <f>IFERROR(IF(ISNUMBER(H$13), H$13/$B$19, H$13), H$13)</f>
        <v>2.2499999999999999E-2</v>
      </c>
      <c r="I19" s="11"/>
      <c r="J19" s="31">
        <f>IFERROR(IF(ISNUMBER(J$13), J$13/$B$19, J$13), J$13)</f>
        <v>4.583333333333333E-2</v>
      </c>
      <c r="K19" s="31">
        <f>IFERROR(IF(ISNUMBER(K$13), K$13/$B$19, K$13), K$13)</f>
        <v>3.125E-2</v>
      </c>
      <c r="L19" s="46">
        <f>IFERROR(IF(ISNUMBER(L$13), L$13/$B$19, L$13), L$13)</f>
        <v>3.125E-2</v>
      </c>
      <c r="M19" s="31">
        <f>IFERROR(IF(ISNUMBER(M$13), M$13/$B$19, M$13), M$13)</f>
        <v>3.7499999999999999E-2</v>
      </c>
      <c r="O19" s="12">
        <f>B15/110*10*12</f>
        <v>130909.09090909091</v>
      </c>
      <c r="P19" s="12">
        <f>B15*12-O19</f>
        <v>1309090.9090909092</v>
      </c>
    </row>
    <row r="20" spans="1:55" ht="16.5" thickTop="1" thickBot="1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O20" s="12"/>
      <c r="P20" s="12"/>
      <c r="Q20" s="12"/>
    </row>
    <row r="21" spans="1:55" ht="20.25" thickTop="1" thickBot="1" x14ac:dyDescent="0.3">
      <c r="A21" s="77" t="s">
        <v>21</v>
      </c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62"/>
      <c r="M21" s="62"/>
      <c r="AK21" s="79" t="str">
        <f>AK3</f>
        <v>Salary Slab Rates (TY2026)</v>
      </c>
      <c r="AL21" s="80"/>
      <c r="AM21" s="81"/>
      <c r="AO21" s="79" t="str">
        <f>AO3</f>
        <v>Salary Slab Rates (TY2025)</v>
      </c>
      <c r="AP21" s="80"/>
      <c r="AQ21" s="81"/>
      <c r="AS21" s="79" t="str">
        <f>AS3</f>
        <v>Salary Slab Rates (TY2024)</v>
      </c>
      <c r="AT21" s="80"/>
      <c r="AU21" s="81"/>
      <c r="AW21" s="79" t="str">
        <f>AW3</f>
        <v>Salary Slab Rates (TY2023)</v>
      </c>
      <c r="AX21" s="80"/>
      <c r="AY21" s="81"/>
      <c r="BA21" s="79" t="str">
        <f>BA3</f>
        <v>Salary Slab Rates (TY2022,2021&amp; 2020)</v>
      </c>
      <c r="BB21" s="80"/>
      <c r="BC21" s="81"/>
    </row>
    <row r="22" spans="1:55" ht="20.25" thickTop="1" thickBot="1" x14ac:dyDescent="0.3">
      <c r="A22" s="76" t="s">
        <v>45</v>
      </c>
      <c r="B22" s="76"/>
      <c r="C22" s="76"/>
      <c r="D22" s="76"/>
      <c r="E22" s="76"/>
      <c r="F22" s="76"/>
      <c r="G22" s="76"/>
      <c r="H22" s="76"/>
      <c r="I22" s="76"/>
      <c r="J22" s="76"/>
      <c r="K22" s="76"/>
      <c r="L22" s="63"/>
      <c r="M22" s="63"/>
      <c r="AK22" s="10" t="s">
        <v>5</v>
      </c>
      <c r="AL22" s="2" t="s">
        <v>4</v>
      </c>
      <c r="AM22" s="2" t="s">
        <v>3</v>
      </c>
      <c r="AO22" s="10" t="s">
        <v>5</v>
      </c>
      <c r="AP22" s="2" t="s">
        <v>4</v>
      </c>
      <c r="AQ22" s="2" t="s">
        <v>3</v>
      </c>
      <c r="AS22" s="10" t="s">
        <v>5</v>
      </c>
      <c r="AT22" s="2" t="s">
        <v>4</v>
      </c>
      <c r="AU22" s="2" t="s">
        <v>3</v>
      </c>
      <c r="AW22" s="10" t="s">
        <v>5</v>
      </c>
      <c r="AX22" s="2" t="s">
        <v>4</v>
      </c>
      <c r="AY22" s="2" t="s">
        <v>3</v>
      </c>
      <c r="BA22" s="10" t="s">
        <v>5</v>
      </c>
      <c r="BB22" s="2" t="s">
        <v>4</v>
      </c>
      <c r="BC22" s="2" t="s">
        <v>3</v>
      </c>
    </row>
    <row r="23" spans="1:55" ht="16.5" thickTop="1" thickBot="1" x14ac:dyDescent="0.3">
      <c r="A23" s="11"/>
      <c r="B23" s="11"/>
      <c r="C23" s="11"/>
      <c r="D23" s="11"/>
      <c r="E23" s="11"/>
      <c r="F23" s="11"/>
      <c r="G23" s="11"/>
      <c r="H23" s="11"/>
      <c r="I23" s="56"/>
      <c r="J23" s="56"/>
      <c r="K23" s="11"/>
      <c r="L23" s="11"/>
      <c r="M23" s="11"/>
      <c r="AK23" s="16">
        <f>AM6</f>
        <v>0</v>
      </c>
      <c r="AL23" s="17">
        <f t="shared" ref="AL23:AL26" si="0">AL6</f>
        <v>0.01</v>
      </c>
      <c r="AM23" s="18">
        <f t="shared" ref="AM23:AM26" si="1">AK6</f>
        <v>600000</v>
      </c>
      <c r="AO23" s="16">
        <f>AQ6</f>
        <v>0</v>
      </c>
      <c r="AP23" s="17">
        <f t="shared" ref="AP23:AP26" si="2">AP6</f>
        <v>0.05</v>
      </c>
      <c r="AQ23" s="18">
        <f t="shared" ref="AQ23:AQ26" si="3">AO6</f>
        <v>600000</v>
      </c>
      <c r="AS23" s="16">
        <f>AU6</f>
        <v>0</v>
      </c>
      <c r="AT23" s="17">
        <f t="shared" ref="AT23:AT26" si="4">AT6</f>
        <v>2.5000000000000001E-2</v>
      </c>
      <c r="AU23" s="18">
        <f t="shared" ref="AU23:AU26" si="5">AS6</f>
        <v>600000</v>
      </c>
      <c r="AW23" s="16">
        <f t="shared" ref="AW23:AW26" si="6">AY6</f>
        <v>0</v>
      </c>
      <c r="AX23" s="17">
        <f t="shared" ref="AX23:AX26" si="7">AX6</f>
        <v>2.5000000000000001E-2</v>
      </c>
      <c r="AY23" s="18">
        <f t="shared" ref="AY23:AY26" si="8">AW6</f>
        <v>600000</v>
      </c>
      <c r="BA23" s="16">
        <f t="shared" ref="BA23:BA26" si="9">BC6</f>
        <v>0</v>
      </c>
      <c r="BB23" s="17">
        <f t="shared" ref="BB23:BB26" si="10">BB6</f>
        <v>0.05</v>
      </c>
      <c r="BC23" s="18">
        <f t="shared" ref="BC23:BC26" si="11">BA6</f>
        <v>600000</v>
      </c>
    </row>
    <row r="24" spans="1:55" ht="16.5" customHeight="1" thickTop="1" thickBot="1" x14ac:dyDescent="0.3">
      <c r="A24" s="82" t="s">
        <v>29</v>
      </c>
      <c r="B24" s="83"/>
      <c r="C24" s="42"/>
      <c r="D24" s="91" t="s">
        <v>30</v>
      </c>
      <c r="E24" s="92"/>
      <c r="F24" s="92"/>
      <c r="G24" s="92"/>
      <c r="H24" s="92"/>
      <c r="I24" s="92"/>
      <c r="J24" s="92"/>
      <c r="K24" s="93"/>
      <c r="AK24" s="4">
        <f>AM7</f>
        <v>6000</v>
      </c>
      <c r="AL24" s="6">
        <f t="shared" si="0"/>
        <v>0.11</v>
      </c>
      <c r="AM24" s="8">
        <f t="shared" si="1"/>
        <v>1200000</v>
      </c>
      <c r="AO24" s="4">
        <f>AQ7</f>
        <v>30000</v>
      </c>
      <c r="AP24" s="6">
        <f t="shared" si="2"/>
        <v>0.15</v>
      </c>
      <c r="AQ24" s="8">
        <f t="shared" si="3"/>
        <v>1200000</v>
      </c>
      <c r="AS24" s="4">
        <f>AU7</f>
        <v>15000</v>
      </c>
      <c r="AT24" s="6">
        <f t="shared" si="4"/>
        <v>0.125</v>
      </c>
      <c r="AU24" s="8">
        <f t="shared" si="5"/>
        <v>1200000</v>
      </c>
      <c r="AW24" s="4">
        <f t="shared" si="6"/>
        <v>15000</v>
      </c>
      <c r="AX24" s="6">
        <f t="shared" si="7"/>
        <v>0.125</v>
      </c>
      <c r="AY24" s="8">
        <f t="shared" si="8"/>
        <v>1200000</v>
      </c>
      <c r="BA24" s="4">
        <f t="shared" si="9"/>
        <v>30000</v>
      </c>
      <c r="BB24" s="6">
        <f t="shared" si="10"/>
        <v>0.1</v>
      </c>
      <c r="BC24" s="8">
        <f t="shared" si="11"/>
        <v>1200000</v>
      </c>
    </row>
    <row r="25" spans="1:55" ht="33" thickTop="1" thickBot="1" x14ac:dyDescent="0.3">
      <c r="A25" s="84"/>
      <c r="B25" s="85"/>
      <c r="C25" s="11"/>
      <c r="D25" s="57" t="s">
        <v>7</v>
      </c>
      <c r="E25" s="11"/>
      <c r="F25" s="72" t="s">
        <v>43</v>
      </c>
      <c r="G25" s="72" t="s">
        <v>32</v>
      </c>
      <c r="H25" s="72" t="s">
        <v>8</v>
      </c>
      <c r="I25" s="94" t="s">
        <v>9</v>
      </c>
      <c r="J25" s="95"/>
      <c r="K25" s="72" t="s">
        <v>10</v>
      </c>
      <c r="L25" s="70"/>
      <c r="AK25" s="4">
        <f>AM8</f>
        <v>116000</v>
      </c>
      <c r="AL25" s="6">
        <f t="shared" si="0"/>
        <v>0.23</v>
      </c>
      <c r="AM25" s="8">
        <f t="shared" si="1"/>
        <v>2200000</v>
      </c>
      <c r="AO25" s="4">
        <f>AQ8</f>
        <v>180000</v>
      </c>
      <c r="AP25" s="6">
        <f t="shared" si="2"/>
        <v>0.25</v>
      </c>
      <c r="AQ25" s="8">
        <f t="shared" si="3"/>
        <v>2200000</v>
      </c>
      <c r="AS25" s="4">
        <f>AU8</f>
        <v>165000</v>
      </c>
      <c r="AT25" s="6">
        <f t="shared" si="4"/>
        <v>0.22500000000000001</v>
      </c>
      <c r="AU25" s="8">
        <f t="shared" si="5"/>
        <v>2400000</v>
      </c>
      <c r="AW25" s="4">
        <f t="shared" si="6"/>
        <v>165000</v>
      </c>
      <c r="AX25" s="6">
        <f t="shared" si="7"/>
        <v>0.2</v>
      </c>
      <c r="AY25" s="8">
        <f t="shared" si="8"/>
        <v>2400000</v>
      </c>
      <c r="BA25" s="4">
        <f t="shared" si="9"/>
        <v>90000</v>
      </c>
      <c r="BB25" s="6">
        <f t="shared" si="10"/>
        <v>0.15</v>
      </c>
      <c r="BC25" s="8">
        <f t="shared" si="11"/>
        <v>1800000</v>
      </c>
    </row>
    <row r="26" spans="1:55" ht="15.75" thickTop="1" x14ac:dyDescent="0.25">
      <c r="A26" s="27"/>
      <c r="B26" s="29"/>
      <c r="C26" s="11"/>
      <c r="D26" s="29"/>
      <c r="E26" s="11"/>
      <c r="F26" s="29"/>
      <c r="G26" s="29"/>
      <c r="H26" s="29"/>
      <c r="I26" s="98"/>
      <c r="J26" s="99"/>
      <c r="K26" s="27"/>
      <c r="L26" s="70"/>
      <c r="AK26" s="4">
        <f>AM9</f>
        <v>346000</v>
      </c>
      <c r="AL26" s="6">
        <f t="shared" si="0"/>
        <v>0.3</v>
      </c>
      <c r="AM26" s="8">
        <f t="shared" si="1"/>
        <v>3200000</v>
      </c>
      <c r="AO26" s="4">
        <f>AQ9</f>
        <v>430000</v>
      </c>
      <c r="AP26" s="6">
        <f t="shared" si="2"/>
        <v>0.3</v>
      </c>
      <c r="AQ26" s="8">
        <f t="shared" si="3"/>
        <v>3200000</v>
      </c>
      <c r="AS26" s="4">
        <f>AU9</f>
        <v>435000</v>
      </c>
      <c r="AT26" s="6">
        <f t="shared" si="4"/>
        <v>0.27500000000000002</v>
      </c>
      <c r="AU26" s="8">
        <f t="shared" si="5"/>
        <v>3600000</v>
      </c>
      <c r="AW26" s="4">
        <f t="shared" si="6"/>
        <v>405000</v>
      </c>
      <c r="AX26" s="6">
        <f t="shared" si="7"/>
        <v>0.25</v>
      </c>
      <c r="AY26" s="8">
        <f t="shared" si="8"/>
        <v>3600000</v>
      </c>
      <c r="BA26" s="4">
        <f t="shared" si="9"/>
        <v>195000</v>
      </c>
      <c r="BB26" s="6">
        <f t="shared" si="10"/>
        <v>0.17499999999999999</v>
      </c>
      <c r="BC26" s="8">
        <f t="shared" si="11"/>
        <v>2500000</v>
      </c>
    </row>
    <row r="27" spans="1:55" ht="15.75" x14ac:dyDescent="0.25">
      <c r="A27" s="20" t="s">
        <v>16</v>
      </c>
      <c r="B27" s="59">
        <v>32400</v>
      </c>
      <c r="C27" s="11"/>
      <c r="D27" s="23" t="s">
        <v>15</v>
      </c>
      <c r="E27" s="11"/>
      <c r="F27" s="40">
        <f>VLOOKUP($B$27,REVERSE2026,3,1)+($B$27-VLOOKUP($B$27,REVERSE2026,1,1))/VLOOKUP($B$27,REVERSE2026,2,1)</f>
        <v>1440000</v>
      </c>
      <c r="G27" s="40">
        <f>VLOOKUP($B$27,khan25,3,1)+($B$27-VLOOKUP($B$27,khan25,1,1))/VLOOKUP($B$27,khan25,2,1)</f>
        <v>1216000</v>
      </c>
      <c r="H27" s="39">
        <f>VLOOKUP($B$27,khan,3,1)+($B$27-VLOOKUP($B$27,khan,1,1))/VLOOKUP($B$27,khan,2,1)</f>
        <v>1339200</v>
      </c>
      <c r="I27" s="100">
        <f>+VLOOKUP(B27,Impute2023,3,1)+((B27-VLOOKUP(B27,Impute2023,1,1))/VLOOKUP(B27,Impute2023,2,1))</f>
        <v>1339200</v>
      </c>
      <c r="J27" s="101"/>
      <c r="K27" s="71">
        <f>+VLOOKUP(B27,Impute20222120,3,1)+((B27-VLOOKUP(B27,Impute20222120,1,1))/VLOOKUP(B27,Impute20222120,2,1))</f>
        <v>1224000</v>
      </c>
      <c r="AK27" s="13">
        <f>AM10</f>
        <v>616000</v>
      </c>
      <c r="AL27" s="14">
        <f>AL10</f>
        <v>0.35</v>
      </c>
      <c r="AM27" s="15">
        <f>AK10</f>
        <v>4100000</v>
      </c>
      <c r="AO27" s="13">
        <f>AQ10</f>
        <v>700000</v>
      </c>
      <c r="AP27" s="14">
        <f>AP10</f>
        <v>0.35</v>
      </c>
      <c r="AQ27" s="15">
        <f>AO10</f>
        <v>4100000</v>
      </c>
      <c r="AS27" s="13">
        <f>AU10</f>
        <v>1095000</v>
      </c>
      <c r="AT27" s="14">
        <f>AT10</f>
        <v>0.35</v>
      </c>
      <c r="AU27" s="15">
        <f>AS10</f>
        <v>6000000</v>
      </c>
      <c r="AW27" s="13">
        <f>AY10</f>
        <v>1005000</v>
      </c>
      <c r="AX27" s="14">
        <f>AX10</f>
        <v>0.32500000000000001</v>
      </c>
      <c r="AY27" s="15">
        <f>AW10</f>
        <v>6000000</v>
      </c>
      <c r="BA27" s="13">
        <f>BC10</f>
        <v>370000</v>
      </c>
      <c r="BB27" s="14">
        <f>BB10</f>
        <v>0.2</v>
      </c>
      <c r="BC27" s="15">
        <f>BA10</f>
        <v>3500000</v>
      </c>
    </row>
    <row r="28" spans="1:55" x14ac:dyDescent="0.25">
      <c r="A28" s="28"/>
      <c r="B28" s="22"/>
      <c r="C28" s="11"/>
      <c r="D28" s="23"/>
      <c r="E28" s="11"/>
      <c r="F28" s="41"/>
      <c r="G28" s="41"/>
      <c r="H28" s="30"/>
      <c r="I28" s="102"/>
      <c r="J28" s="103"/>
      <c r="K28" s="22"/>
      <c r="AK28" s="13"/>
      <c r="AL28" s="14">
        <f>AL11</f>
        <v>0</v>
      </c>
      <c r="AM28" s="15">
        <f>AK11</f>
        <v>1000000000000</v>
      </c>
      <c r="AO28" s="13"/>
      <c r="AP28" s="14">
        <f>AP11</f>
        <v>0</v>
      </c>
      <c r="AQ28" s="15">
        <f>AO11</f>
        <v>1000000000000</v>
      </c>
      <c r="AS28" s="13"/>
      <c r="AT28" s="14">
        <f>AT11</f>
        <v>0</v>
      </c>
      <c r="AU28" s="15">
        <f>AS11</f>
        <v>1000000000000</v>
      </c>
      <c r="AW28" s="13">
        <f>AY11</f>
        <v>2955000</v>
      </c>
      <c r="AX28" s="14">
        <f>AX11</f>
        <v>0.35</v>
      </c>
      <c r="AY28" s="15">
        <f>AW11</f>
        <v>12000000</v>
      </c>
      <c r="BA28" s="13">
        <f>BC11</f>
        <v>670000</v>
      </c>
      <c r="BB28" s="14">
        <f>BB11</f>
        <v>0.22500000000000001</v>
      </c>
      <c r="BC28" s="15">
        <f>BA11</f>
        <v>5000000</v>
      </c>
    </row>
    <row r="29" spans="1:55" ht="15.75" x14ac:dyDescent="0.25">
      <c r="A29" s="20"/>
      <c r="B29" s="25"/>
      <c r="C29" s="19"/>
      <c r="D29" s="23" t="s">
        <v>17</v>
      </c>
      <c r="E29" s="11"/>
      <c r="F29" s="41">
        <f>F27/12</f>
        <v>120000</v>
      </c>
      <c r="G29" s="41">
        <f>G27/12</f>
        <v>101333.33333333333</v>
      </c>
      <c r="H29" s="30">
        <f>H27/12</f>
        <v>111600</v>
      </c>
      <c r="I29" s="100">
        <f>I27/12</f>
        <v>111600</v>
      </c>
      <c r="J29" s="101"/>
      <c r="K29" s="65">
        <f>K27/12</f>
        <v>102000</v>
      </c>
      <c r="L29" s="70"/>
      <c r="AK29" s="13"/>
      <c r="AL29" s="14"/>
      <c r="AM29" s="15"/>
      <c r="AO29" s="13"/>
      <c r="AP29" s="14"/>
      <c r="AQ29" s="15"/>
      <c r="AS29" s="13"/>
      <c r="AT29" s="14"/>
      <c r="AU29" s="15"/>
      <c r="AW29" s="13"/>
      <c r="AX29" s="14">
        <f>AX13</f>
        <v>0</v>
      </c>
      <c r="AY29" s="15">
        <f>AW13</f>
        <v>1000000000000</v>
      </c>
      <c r="BA29" s="13">
        <f>BC13</f>
        <v>1345000</v>
      </c>
      <c r="BB29" s="14">
        <f>BB13</f>
        <v>0.25</v>
      </c>
      <c r="BC29" s="15">
        <f>BA13</f>
        <v>8000000</v>
      </c>
    </row>
    <row r="30" spans="1:55" x14ac:dyDescent="0.25">
      <c r="A30" s="28"/>
      <c r="B30" s="22"/>
      <c r="C30" s="11"/>
      <c r="D30" s="22"/>
      <c r="E30" s="11"/>
      <c r="F30" s="20"/>
      <c r="G30" s="20"/>
      <c r="H30" s="23"/>
      <c r="I30" s="102"/>
      <c r="J30" s="103"/>
      <c r="K30" s="22"/>
      <c r="AK30" s="13"/>
      <c r="AL30" s="14"/>
      <c r="AM30" s="15"/>
      <c r="AO30" s="13"/>
      <c r="AP30" s="14"/>
      <c r="AQ30" s="15"/>
      <c r="AS30" s="13"/>
      <c r="AT30" s="14"/>
      <c r="AU30" s="15"/>
      <c r="AW30" s="13"/>
      <c r="AX30" s="14"/>
      <c r="AY30" s="15"/>
      <c r="BA30" s="13">
        <f>BC14</f>
        <v>2345000</v>
      </c>
      <c r="BB30" s="14">
        <f>BB14</f>
        <v>0.27500000000000002</v>
      </c>
      <c r="BC30" s="15">
        <f>BA14</f>
        <v>12000000</v>
      </c>
    </row>
    <row r="31" spans="1:55" ht="16.5" thickBot="1" x14ac:dyDescent="0.3">
      <c r="A31" s="21"/>
      <c r="B31" s="26"/>
      <c r="C31" s="11"/>
      <c r="D31" s="24" t="s">
        <v>44</v>
      </c>
      <c r="E31" s="11"/>
      <c r="F31" s="64">
        <f>$B$27/F27</f>
        <v>2.2499999999999999E-2</v>
      </c>
      <c r="G31" s="64">
        <f>$B$27/G27</f>
        <v>2.6644736842105263E-2</v>
      </c>
      <c r="H31" s="31">
        <f>$B$27/H27</f>
        <v>2.4193548387096774E-2</v>
      </c>
      <c r="I31" s="96">
        <f>B27/I27</f>
        <v>2.4193548387096774E-2</v>
      </c>
      <c r="J31" s="97"/>
      <c r="K31" s="31">
        <f>$B$27/K27</f>
        <v>2.6470588235294117E-2</v>
      </c>
      <c r="AK31" s="9"/>
      <c r="AL31" s="9"/>
      <c r="AM31" s="9"/>
      <c r="AO31" s="9"/>
      <c r="AP31" s="9"/>
      <c r="AQ31" s="9"/>
      <c r="AS31" s="9"/>
      <c r="AT31" s="9"/>
      <c r="AU31" s="9"/>
      <c r="AW31" s="9"/>
      <c r="AX31" s="9"/>
      <c r="AY31" s="9"/>
      <c r="BA31" s="13"/>
      <c r="BB31" s="14">
        <f>BB15</f>
        <v>0</v>
      </c>
      <c r="BC31" s="15">
        <f>BA15</f>
        <v>1000000000000</v>
      </c>
    </row>
    <row r="32" spans="1:55" ht="15.75" thickTop="1" x14ac:dyDescent="0.25"/>
    <row r="33" x14ac:dyDescent="0.25"/>
    <row r="34" x14ac:dyDescent="0.25"/>
    <row r="35" x14ac:dyDescent="0.25"/>
    <row r="36" x14ac:dyDescent="0.25"/>
  </sheetData>
  <sheetProtection algorithmName="SHA-512" hashValue="CLsm7zadLItbEd8OkejD9yFObro+M5oRIuGijOGTtLED19EraYxsNCqgfOWjC8G5ZqP3UsSzOUwOj/MqiDhxMg==" saltValue="1oSmm2E1wraDsEXgb0v9/A==" spinCount="100000" sheet="1" formatCells="0" formatColumns="0" formatRows="0" insertColumns="0" insertRows="0" deleteColumns="0" deleteRows="0" pivotTables="0"/>
  <protectedRanges>
    <protectedRange sqref="B27" name="Range3"/>
    <protectedRange sqref="B16" name="Range2"/>
    <protectedRange sqref="B12:B13" name="Range1"/>
  </protectedRanges>
  <mergeCells count="31">
    <mergeCell ref="A24:B25"/>
    <mergeCell ref="I25:J25"/>
    <mergeCell ref="I31:J31"/>
    <mergeCell ref="D24:K24"/>
    <mergeCell ref="I26:J26"/>
    <mergeCell ref="I27:J27"/>
    <mergeCell ref="I28:J28"/>
    <mergeCell ref="I29:J29"/>
    <mergeCell ref="I30:J30"/>
    <mergeCell ref="AW3:AY3"/>
    <mergeCell ref="J10:J11"/>
    <mergeCell ref="BA3:BC3"/>
    <mergeCell ref="AO3:AQ3"/>
    <mergeCell ref="BA21:BC21"/>
    <mergeCell ref="K10:K11"/>
    <mergeCell ref="L10:L11"/>
    <mergeCell ref="M10:M11"/>
    <mergeCell ref="AS21:AU21"/>
    <mergeCell ref="AO21:AQ21"/>
    <mergeCell ref="AW21:AY21"/>
    <mergeCell ref="AK21:AM21"/>
    <mergeCell ref="A21:K21"/>
    <mergeCell ref="D9:M9"/>
    <mergeCell ref="A22:K22"/>
    <mergeCell ref="A6:M6"/>
    <mergeCell ref="A7:M7"/>
    <mergeCell ref="AK3:AM3"/>
    <mergeCell ref="AS3:AU3"/>
    <mergeCell ref="A9:B10"/>
    <mergeCell ref="D10:D11"/>
    <mergeCell ref="F10:H10"/>
  </mergeCells>
  <dataValidations count="1">
    <dataValidation type="textLength" operator="lessThan" allowBlank="1" showInputMessage="1" showErrorMessage="1" error="Please enter value less than 1,000,000,000" sqref="B12" xr:uid="{B233D330-B8C6-47B2-91A6-CF5329B3C30E}">
      <formula1>1000000000</formula1>
    </dataValidation>
  </dataValidations>
  <pageMargins left="0.25" right="0.25" top="0.25" bottom="0.25" header="0.25" footer="0.25"/>
  <pageSetup scale="8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571500</xdr:colOff>
                    <xdr:row>17</xdr:row>
                    <xdr:rowOff>28575</xdr:rowOff>
                  </from>
                  <to>
                    <xdr:col>3</xdr:col>
                    <xdr:colOff>152400</xdr:colOff>
                    <xdr:row>18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5C8A-D3B2-4558-8C38-935F94BC7547}">
  <dimension ref="B5:J14"/>
  <sheetViews>
    <sheetView workbookViewId="0">
      <selection activeCell="J14" sqref="J14"/>
    </sheetView>
  </sheetViews>
  <sheetFormatPr defaultColWidth="8.7109375" defaultRowHeight="15" x14ac:dyDescent="0.25"/>
  <cols>
    <col min="3" max="3" width="9.7109375" bestFit="1" customWidth="1"/>
    <col min="5" max="5" width="13.7109375" bestFit="1" customWidth="1"/>
    <col min="6" max="6" width="15" bestFit="1" customWidth="1"/>
  </cols>
  <sheetData>
    <row r="5" spans="2:10" x14ac:dyDescent="0.25">
      <c r="B5">
        <f>300000+225000*10</f>
        <v>2550000</v>
      </c>
      <c r="D5">
        <v>7750</v>
      </c>
      <c r="E5" s="32">
        <v>209545.45454545459</v>
      </c>
    </row>
    <row r="6" spans="2:10" x14ac:dyDescent="0.25">
      <c r="E6" s="49">
        <f>D5-E5</f>
        <v>-201795.45454545459</v>
      </c>
    </row>
    <row r="7" spans="2:10" x14ac:dyDescent="0.25">
      <c r="E7" s="49">
        <f>E6/10</f>
        <v>-20179.54545454546</v>
      </c>
    </row>
    <row r="8" spans="2:10" x14ac:dyDescent="0.25">
      <c r="C8" s="104" t="s">
        <v>36</v>
      </c>
      <c r="D8" s="104"/>
      <c r="E8" s="104"/>
      <c r="F8" s="104"/>
    </row>
    <row r="9" spans="2:10" x14ac:dyDescent="0.25">
      <c r="C9" s="53" t="s">
        <v>40</v>
      </c>
      <c r="D9" s="53" t="s">
        <v>37</v>
      </c>
      <c r="E9" s="53" t="s">
        <v>38</v>
      </c>
      <c r="F9" s="53" t="s">
        <v>39</v>
      </c>
    </row>
    <row r="10" spans="2:10" x14ac:dyDescent="0.25">
      <c r="C10" s="51">
        <v>45474</v>
      </c>
      <c r="D10" s="50">
        <v>47000</v>
      </c>
      <c r="E10" s="50">
        <f>D10*10%</f>
        <v>4700</v>
      </c>
      <c r="F10" s="50">
        <v>0</v>
      </c>
    </row>
    <row r="11" spans="2:10" x14ac:dyDescent="0.25">
      <c r="C11" s="51">
        <v>45505</v>
      </c>
      <c r="D11" s="50">
        <v>103000</v>
      </c>
      <c r="E11" s="50">
        <f>D11*10%</f>
        <v>10300</v>
      </c>
      <c r="F11" s="52">
        <f>23636/11</f>
        <v>2148.7272727272725</v>
      </c>
    </row>
    <row r="12" spans="2:10" x14ac:dyDescent="0.25">
      <c r="C12" s="51">
        <v>45536</v>
      </c>
      <c r="D12" s="50">
        <v>104000</v>
      </c>
      <c r="E12" s="50">
        <f>D12*10%</f>
        <v>10400</v>
      </c>
      <c r="F12" s="50">
        <f>24090/10</f>
        <v>2409</v>
      </c>
      <c r="J12">
        <f>1250*12</f>
        <v>15000</v>
      </c>
    </row>
    <row r="13" spans="2:10" ht="15.75" thickBot="1" x14ac:dyDescent="0.3">
      <c r="C13" s="54" t="s">
        <v>41</v>
      </c>
      <c r="D13" s="54">
        <f>SUM(D10:D12)</f>
        <v>254000</v>
      </c>
      <c r="E13" s="54">
        <f>SUM(E10:E12)</f>
        <v>25400</v>
      </c>
      <c r="F13" s="55">
        <f>SUM(F10:F12)</f>
        <v>4557.7272727272721</v>
      </c>
      <c r="J13">
        <f>12*37000*5%</f>
        <v>22200</v>
      </c>
    </row>
    <row r="14" spans="2:10" ht="15.75" thickTop="1" x14ac:dyDescent="0.25"/>
  </sheetData>
  <mergeCells count="1">
    <mergeCell ref="C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Sheet1</vt:lpstr>
      <vt:lpstr>Sheet2</vt:lpstr>
      <vt:lpstr>Allowance</vt:lpstr>
      <vt:lpstr>BSala</vt:lpstr>
      <vt:lpstr>Impute20222120</vt:lpstr>
      <vt:lpstr>Impute2023</vt:lpstr>
      <vt:lpstr>Impute2024</vt:lpstr>
      <vt:lpstr>khan</vt:lpstr>
      <vt:lpstr>khan25</vt:lpstr>
      <vt:lpstr>Med</vt:lpstr>
      <vt:lpstr>Sheet1!Print_Area</vt:lpstr>
      <vt:lpstr>REVERSE2026</vt:lpstr>
      <vt:lpstr>Table20222120</vt:lpstr>
      <vt:lpstr>Table2023</vt:lpstr>
      <vt:lpstr>Table2024</vt:lpstr>
      <vt:lpstr>Table2025</vt:lpstr>
      <vt:lpstr>Table2026</vt:lpstr>
      <vt:lpstr>tBLE2024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Muzammil Yasin</dc:creator>
  <cp:lastModifiedBy>BizCon Corporate Consultants</cp:lastModifiedBy>
  <cp:lastPrinted>2025-06-14T07:03:10Z</cp:lastPrinted>
  <dcterms:created xsi:type="dcterms:W3CDTF">2023-07-08T07:32:36Z</dcterms:created>
  <dcterms:modified xsi:type="dcterms:W3CDTF">2025-07-01T10:11:24Z</dcterms:modified>
</cp:coreProperties>
</file>